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4240" windowHeight="13140" activeTab="2"/>
  </bookViews>
  <sheets>
    <sheet name="Actual FC &amp; PGCIL &amp; TM Cost" sheetId="3" r:id="rId1"/>
    <sheet name="Abstract Avail&amp;Strand" sheetId="5" r:id="rId2"/>
    <sheet name="Addnl Surcharge 21-22_H1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'Actual FC &amp; PGCIL &amp; TM Cost'!$B$48:$D$60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7" i="3" l="1"/>
  <c r="C54" i="3"/>
  <c r="C49" i="3"/>
  <c r="E9" i="1" l="1"/>
  <c r="I8" i="5"/>
  <c r="I7" i="5"/>
  <c r="I6" i="5"/>
  <c r="I5" i="5"/>
  <c r="I4" i="5"/>
  <c r="I10" i="5"/>
  <c r="H8" i="5"/>
  <c r="H7" i="5"/>
  <c r="H6" i="5"/>
  <c r="H5" i="5"/>
  <c r="H4" i="5"/>
  <c r="H10" i="5"/>
  <c r="G8" i="5"/>
  <c r="G7" i="5"/>
  <c r="G6" i="5"/>
  <c r="G5" i="5"/>
  <c r="G4" i="5"/>
  <c r="G10" i="5"/>
  <c r="F8" i="5"/>
  <c r="F7" i="5"/>
  <c r="F6" i="5"/>
  <c r="F5" i="5"/>
  <c r="F4" i="5"/>
  <c r="F10" i="5"/>
  <c r="E8" i="5"/>
  <c r="E7" i="5"/>
  <c r="E6" i="5"/>
  <c r="E5" i="5"/>
  <c r="E4" i="5"/>
  <c r="E10" i="5"/>
  <c r="D8" i="5"/>
  <c r="D7" i="5"/>
  <c r="D6" i="5"/>
  <c r="D5" i="5"/>
  <c r="D4" i="5"/>
  <c r="D10" i="5"/>
  <c r="F14" i="3"/>
  <c r="G14" i="3"/>
  <c r="F13" i="3"/>
  <c r="G13" i="3"/>
  <c r="J8" i="5"/>
  <c r="E4" i="1"/>
  <c r="J7" i="5"/>
  <c r="J6" i="5"/>
  <c r="J5" i="5"/>
  <c r="J4" i="5"/>
  <c r="E3" i="1"/>
  <c r="F16" i="3"/>
  <c r="C26" i="3"/>
  <c r="E16" i="3"/>
  <c r="C19" i="3"/>
  <c r="C42" i="3"/>
  <c r="C22" i="3"/>
  <c r="C60" i="3"/>
  <c r="E8" i="1" s="1"/>
  <c r="E10" i="1" s="1"/>
  <c r="C46" i="3"/>
  <c r="E5" i="1"/>
  <c r="E6" i="1" s="1"/>
  <c r="E7" i="1" s="1"/>
  <c r="C45" i="3"/>
  <c r="C62" i="3"/>
  <c r="G16" i="3" l="1"/>
  <c r="E11" i="1" s="1"/>
  <c r="E12" i="1" s="1"/>
  <c r="E14" i="1" s="1"/>
  <c r="E16" i="1" s="1"/>
  <c r="E17" i="1" s="1"/>
  <c r="E19" i="1" s="1"/>
</calcChain>
</file>

<file path=xl/comments1.xml><?xml version="1.0" encoding="utf-8"?>
<comments xmlns="http://schemas.openxmlformats.org/spreadsheetml/2006/main">
  <authors>
    <author>admin</author>
  </authors>
  <commentList>
    <comment ref="E1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Excluding Captive</t>
        </r>
      </text>
    </comment>
  </commentList>
</comments>
</file>

<file path=xl/sharedStrings.xml><?xml version="1.0" encoding="utf-8"?>
<sst xmlns="http://schemas.openxmlformats.org/spreadsheetml/2006/main" count="148" uniqueCount="135">
  <si>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</si>
  <si>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</si>
  <si>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</si>
  <si>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</si>
  <si>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</si>
  <si>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</si>
  <si>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</si>
  <si>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</si>
  <si>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</si>
  <si>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</si>
  <si>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</si>
  <si>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</si>
  <si>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</si>
  <si>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</si>
  <si>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</si>
  <si>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</si>
  <si>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</si>
  <si>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</si>
  <si>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</si>
  <si>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</si>
  <si>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</si>
  <si>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</si>
  <si>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</si>
  <si>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</si>
  <si>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</si>
  <si>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</si>
  <si>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</si>
  <si>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</si>
  <si>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</si>
  <si>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</si>
  <si>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Energy consumed by open access consumers from the DISCOM</t>
  </si>
  <si>
    <t>{L}={K}x{J}</t>
  </si>
  <si>
    <t>Transmission and distribution charges to be paid by open access consumers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</si>
  <si>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</si>
  <si>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</si>
  <si>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</si>
  <si>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</si>
  <si>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</si>
  <si>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</si>
  <si>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</si>
  <si>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</si>
  <si>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</si>
  <si>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</si>
  <si>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</si>
  <si>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</si>
  <si>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</si>
  <si>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</si>
  <si>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</si>
  <si>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</si>
  <si>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</si>
  <si>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</si>
  <si>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</si>
  <si>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</si>
  <si>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</si>
  <si>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</si>
  <si>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</si>
  <si>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</si>
  <si>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</si>
  <si>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</si>
  <si>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</si>
  <si>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</si>
  <si>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</si>
  <si>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</si>
  <si>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</si>
  <si>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</si>
  <si>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</si>
  <si>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</si>
  <si>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</si>
  <si>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</si>
  <si>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</si>
  <si>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</si>
  <si>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</si>
  <si>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</si>
  <si>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APGPCL ST-I</t>
  </si>
  <si>
    <t>APGPCL ST-I &amp; II</t>
  </si>
  <si>
    <t>IPPs</t>
  </si>
  <si>
    <t>APGPCL Total</t>
  </si>
  <si>
    <t>M/s Thermal Powertech 570MW</t>
  </si>
  <si>
    <t>Thermal Powertech 269.45 Mw</t>
  </si>
  <si>
    <t>TOTAL IPPs/MPPs</t>
  </si>
  <si>
    <t>NCEs- TSNPDCL</t>
  </si>
  <si>
    <t>NCEs- TSSPDCL</t>
  </si>
  <si>
    <t>NVVNL B.P-Solar</t>
  </si>
  <si>
    <t>NVVNL B.P-Coal</t>
  </si>
  <si>
    <t>NSM-Solar Phase II</t>
  </si>
  <si>
    <t>NSM-Coal Phase II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</si>
  <si>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</si>
  <si>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</si>
  <si>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</si>
  <si>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</si>
  <si>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</si>
  <si>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</si>
  <si>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</si>
  <si>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</si>
  <si>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</si>
  <si>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</si>
  <si>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POC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</si>
  <si>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</si>
  <si>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</si>
  <si>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</si>
  <si>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</si>
  <si>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</si>
  <si>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</si>
  <si>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</si>
  <si>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Distibution cost (Rs./Unit)</t>
  </si>
  <si>
    <t>Total Fixed Cost incl NCEs</t>
  </si>
  <si>
    <t>Total Fixed Cost Excl NCEs</t>
  </si>
  <si>
    <t>PGCIL</t>
  </si>
  <si>
    <t>LTOA sembcorp</t>
  </si>
  <si>
    <t>Transco</t>
  </si>
  <si>
    <t>SLDC</t>
  </si>
  <si>
    <t>PGCIL &amp; T/m Cost</t>
  </si>
  <si>
    <t>Total</t>
  </si>
  <si>
    <t>Others cost</t>
  </si>
  <si>
    <t>Total Check matched</t>
  </si>
  <si>
    <t>SP</t>
  </si>
  <si>
    <t>NP</t>
  </si>
  <si>
    <t>Approved Distribution Cost (Cr.)</t>
  </si>
  <si>
    <t>Actual PP (MU)</t>
  </si>
  <si>
    <t>NNTPS</t>
  </si>
  <si>
    <t>BTPS</t>
  </si>
  <si>
    <t>6 months</t>
  </si>
  <si>
    <t>Sale of Power (MU)</t>
  </si>
  <si>
    <t>Particular (in MW)</t>
  </si>
  <si>
    <t>Average</t>
  </si>
  <si>
    <t>Availibile capacity</t>
  </si>
  <si>
    <t>Scheduled Capacity</t>
  </si>
  <si>
    <t>Deficit/(Surplus)</t>
  </si>
  <si>
    <t>OA Scheduled Capacity</t>
  </si>
  <si>
    <t>Stranded Capacity</t>
  </si>
  <si>
    <t>Stranded Capacity arrived by considering minimum of backing down i.e., deficit and OA scheduled capacity for each 15-min block</t>
  </si>
  <si>
    <t>Apr'21 to Sep'21</t>
  </si>
  <si>
    <t>Filings for FY22-23</t>
  </si>
  <si>
    <t>considering Actual Data of Apr'21 to Sep'21</t>
  </si>
  <si>
    <t>in Crs.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</si>
</sst>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9" fillId="0" borderId="0"/>
  </cellStyleXfs>
  <cellXfs count="79">
    <xf numFmtId="0" fontId="0" fillId="0" borderId="0" xfId="0"/>
    <xf numFmtId="0" fontId="0" fillId="0" borderId="6" xfId="0" applyBorder="1" applyAlignment="1">
      <alignment vertical="top" wrapText="1"/>
    </xf>
    <xf numFmtId="0" fontId="0" fillId="0" borderId="1" xfId="0" applyBorder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17" fontId="2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Fill="1" applyBorder="1"/>
    <xf numFmtId="1" fontId="8" fillId="0" borderId="1" xfId="0" applyNumberFormat="1" applyFont="1" applyFill="1" applyBorder="1"/>
    <xf numFmtId="1" fontId="0" fillId="0" borderId="1" xfId="0" applyNumberFormat="1" applyFont="1" applyFill="1" applyBorder="1"/>
    <xf numFmtId="1" fontId="3" fillId="0" borderId="1" xfId="0" applyNumberFormat="1" applyFont="1" applyFill="1" applyBorder="1"/>
    <xf numFmtId="2" fontId="0" fillId="0" borderId="1" xfId="0" applyNumberFormat="1" applyFont="1" applyFill="1" applyBorder="1"/>
    <xf numFmtId="1" fontId="5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/>
    <xf numFmtId="1" fontId="5" fillId="0" borderId="1" xfId="0" applyNumberFormat="1" applyFont="1" applyFill="1" applyBorder="1"/>
    <xf numFmtId="1" fontId="7" fillId="3" borderId="1" xfId="0" applyNumberFormat="1" applyFont="1" applyFill="1" applyBorder="1"/>
    <xf numFmtId="1" fontId="1" fillId="0" borderId="1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1" xfId="0" applyFont="1" applyBorder="1"/>
    <xf numFmtId="0" fontId="2" fillId="0" borderId="0" xfId="0" applyFont="1" applyAlignment="1">
      <alignment wrapText="1"/>
    </xf>
    <xf numFmtId="0" fontId="2" fillId="3" borderId="1" xfId="0" applyFont="1" applyFill="1" applyBorder="1"/>
    <xf numFmtId="0" fontId="1" fillId="0" borderId="1" xfId="0" applyFont="1" applyBorder="1"/>
    <xf numFmtId="2" fontId="2" fillId="3" borderId="1" xfId="0" applyNumberFormat="1" applyFont="1" applyFill="1" applyBorder="1"/>
    <xf numFmtId="0" fontId="0" fillId="4" borderId="0" xfId="0" applyFill="1"/>
    <xf numFmtId="164" fontId="2" fillId="4" borderId="0" xfId="0" applyNumberFormat="1" applyFont="1" applyFill="1"/>
    <xf numFmtId="2" fontId="2" fillId="0" borderId="0" xfId="0" applyNumberFormat="1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/>
    <xf numFmtId="2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1" fontId="2" fillId="0" borderId="1" xfId="0" applyNumberFormat="1" applyFont="1" applyBorder="1"/>
    <xf numFmtId="2" fontId="0" fillId="0" borderId="1" xfId="0" applyNumberFormat="1" applyFont="1" applyBorder="1"/>
    <xf numFmtId="2" fontId="2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2" fontId="0" fillId="0" borderId="0" xfId="0" applyNumberFormat="1" applyFont="1" applyBorder="1"/>
    <xf numFmtId="0" fontId="0" fillId="0" borderId="0" xfId="0" applyFont="1" applyBorder="1"/>
    <xf numFmtId="0" fontId="15" fillId="0" borderId="0" xfId="0" applyFont="1"/>
    <xf numFmtId="2" fontId="15" fillId="0" borderId="0" xfId="0" applyNumberFormat="1" applyFont="1" applyFill="1" applyBorder="1"/>
    <xf numFmtId="0" fontId="15" fillId="0" borderId="0" xfId="0" applyFont="1" applyFill="1" applyBorder="1"/>
    <xf numFmtId="2" fontId="14" fillId="0" borderId="0" xfId="0" applyNumberFormat="1" applyFont="1" applyFill="1" applyBorder="1"/>
    <xf numFmtId="0" fontId="14" fillId="0" borderId="0" xfId="0" applyFont="1"/>
    <xf numFmtId="2" fontId="15" fillId="0" borderId="0" xfId="0" applyNumberFormat="1" applyFont="1"/>
    <xf numFmtId="0" fontId="0" fillId="0" borderId="0" xfId="0" applyFont="1" applyAlignment="1">
      <alignment horizontal="right"/>
    </xf>
    <xf numFmtId="1" fontId="2" fillId="0" borderId="0" xfId="0" applyNumberFormat="1" applyFont="1" applyFill="1" applyBorder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1%20Apr'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2%20May'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3%20Jun'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4%20Jul'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5%20Aug'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%20min%20block%20final/6%20Sep'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E2RAC/ARR%20Filings_Detailed/ARR%20Filings_FY19-20%20to%20FY21-22/ARR%20Filings_FY21-22/5%20Additional%20Surcharge_FY21-22/Additional%20Surcharge_FY21-22_H2/AS%2021-22%20H2%20v2/Additional%20Surcharge%20calc%202021-22_H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0">
          <cell r="CU30">
            <v>8864.0518321123182</v>
          </cell>
        </row>
        <row r="62">
          <cell r="CU62">
            <v>8065.7823494216118</v>
          </cell>
        </row>
        <row r="64">
          <cell r="CU64">
            <v>798.26948269070522</v>
          </cell>
        </row>
        <row r="107">
          <cell r="CU107">
            <v>193.69946536111109</v>
          </cell>
        </row>
        <row r="111">
          <cell r="CU111">
            <v>165.39566774130981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0">
          <cell r="CU30">
            <v>9132.7846254120795</v>
          </cell>
        </row>
        <row r="62">
          <cell r="CU62">
            <v>6451.1051594449955</v>
          </cell>
        </row>
        <row r="64">
          <cell r="CU64">
            <v>2681.6794659670836</v>
          </cell>
        </row>
        <row r="107">
          <cell r="CU107">
            <v>266.88402872311826</v>
          </cell>
        </row>
        <row r="111">
          <cell r="CU111">
            <v>266.88402872311826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0">
          <cell r="CU30">
            <v>9061.7398200896278</v>
          </cell>
        </row>
        <row r="62">
          <cell r="CU62">
            <v>6689.4170266155916</v>
          </cell>
        </row>
        <row r="64">
          <cell r="CU64">
            <v>2372.3227934740326</v>
          </cell>
        </row>
        <row r="107">
          <cell r="CU107">
            <v>289.78975023611105</v>
          </cell>
        </row>
        <row r="111">
          <cell r="CU111">
            <v>288.49579043150567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0">
          <cell r="CU30">
            <v>9072.2130962939591</v>
          </cell>
        </row>
        <row r="62">
          <cell r="CU62">
            <v>7300.5691693039789</v>
          </cell>
        </row>
        <row r="64">
          <cell r="CU64">
            <v>1771.6439269899799</v>
          </cell>
        </row>
        <row r="107">
          <cell r="CU107">
            <v>303.79900095878133</v>
          </cell>
        </row>
        <row r="111">
          <cell r="CU111">
            <v>302.13760949190748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0">
          <cell r="CU30">
            <v>9678.2397618356972</v>
          </cell>
        </row>
        <row r="62">
          <cell r="CU62">
            <v>8449.4887826653394</v>
          </cell>
        </row>
        <row r="64">
          <cell r="CU64">
            <v>1228.7509791703585</v>
          </cell>
        </row>
        <row r="107">
          <cell r="CU107">
            <v>166.79608131720428</v>
          </cell>
        </row>
        <row r="111">
          <cell r="CU111">
            <v>164.492896657128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0">
          <cell r="CU30">
            <v>9556.2691339583325</v>
          </cell>
        </row>
        <row r="62">
          <cell r="CU62">
            <v>7502.1324992172385</v>
          </cell>
        </row>
        <row r="64">
          <cell r="CU64">
            <v>2054.1366347410944</v>
          </cell>
        </row>
        <row r="107">
          <cell r="CU107">
            <v>145.98445694444442</v>
          </cell>
        </row>
        <row r="111">
          <cell r="CU111">
            <v>145.0111882464698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 FC &amp; PGCIL &amp; TM Cost"/>
      <sheetName val="Avail Oct'20 to Mar'21"/>
      <sheetName val="For Petition"/>
      <sheetName val="Abstract Avail&amp;Strand"/>
      <sheetName val="Addnl Surcharge 21-22_H2"/>
    </sheetNames>
    <sheetDataSet>
      <sheetData sheetId="0"/>
      <sheetData sheetId="1"/>
      <sheetData sheetId="2"/>
      <sheetData sheetId="3">
        <row r="4">
          <cell r="D4">
            <v>8998.9673842372922</v>
          </cell>
          <cell r="E4">
            <v>8873.7597017239259</v>
          </cell>
          <cell r="F4">
            <v>8265.3188098903338</v>
          </cell>
          <cell r="G4">
            <v>8348.7357534478033</v>
          </cell>
          <cell r="H4">
            <v>8320.0293586011558</v>
          </cell>
          <cell r="I4">
            <v>8642.4779923602982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S65"/>
  <sheetViews>
    <sheetView topLeftCell="A39" zoomScale="90" zoomScaleNormal="90" workbookViewId="0">
      <selection activeCell="I40" sqref="I40"/>
    </sheetView>
  </sheetViews>
  <sheetFormatPr defaultRowHeight="15" x14ac:dyDescent="0.25"/>
  <cols>
    <col min="1" max="1" width="9.140625" style="15"/>
    <col min="2" max="2" width="29.85546875" style="15" customWidth="1"/>
    <col min="3" max="3" width="15.42578125" style="15" bestFit="1" customWidth="1"/>
    <col min="4" max="4" width="15" style="15" hidden="1" customWidth="1"/>
    <col min="5" max="6" width="17.140625" style="27" hidden="1" customWidth="1"/>
    <col min="7" max="7" width="28.7109375" style="27" hidden="1" customWidth="1"/>
    <col min="8" max="9" width="14" style="15" customWidth="1"/>
    <col min="10" max="13" width="13.85546875" style="15" customWidth="1"/>
    <col min="14" max="14" width="12" style="15" customWidth="1"/>
    <col min="15" max="15" width="13.28515625" style="15" customWidth="1"/>
    <col min="16" max="17" width="12.42578125" style="15" customWidth="1"/>
    <col min="18" max="19" width="12.42578125" style="28" customWidth="1"/>
    <col min="20" max="21" width="14.140625" style="15" customWidth="1"/>
    <col min="22" max="22" width="11" style="15" bestFit="1" customWidth="1"/>
    <col min="23" max="16384" width="9.140625" style="15"/>
  </cols>
  <sheetData>
    <row r="2" spans="2:19" s="41" customFormat="1" ht="60" customHeight="1" x14ac:dyDescent="0.25">
      <c r="C2" s="49"/>
      <c r="E2" s="42"/>
      <c r="F2" s="42"/>
      <c r="G2" s="42"/>
      <c r="R2" s="43"/>
      <c r="S2" s="43"/>
    </row>
    <row r="3" spans="2:19" x14ac:dyDescent="0.25">
      <c r="B3" s="10" t="s">
        <v>103</v>
      </c>
      <c r="C3" s="39" t="s">
        <v>131</v>
      </c>
      <c r="D3" s="13"/>
    </row>
    <row r="4" spans="2:19" x14ac:dyDescent="0.25">
      <c r="B4" s="17" t="s">
        <v>59</v>
      </c>
      <c r="C4" s="29"/>
      <c r="D4"/>
    </row>
    <row r="5" spans="2:19" x14ac:dyDescent="0.25">
      <c r="B5" s="18" t="s">
        <v>60</v>
      </c>
      <c r="C5" s="16">
        <v>0</v>
      </c>
      <c r="D5"/>
    </row>
    <row r="6" spans="2:19" x14ac:dyDescent="0.25">
      <c r="B6" s="18" t="s">
        <v>61</v>
      </c>
      <c r="C6" s="16">
        <v>0</v>
      </c>
      <c r="D6" s="30"/>
      <c r="E6" s="44"/>
      <c r="F6" s="44"/>
      <c r="G6" s="44"/>
    </row>
    <row r="7" spans="2:19" x14ac:dyDescent="0.25">
      <c r="B7" s="18" t="s">
        <v>62</v>
      </c>
      <c r="C7" s="16">
        <v>0</v>
      </c>
    </row>
    <row r="8" spans="2:19" x14ac:dyDescent="0.25">
      <c r="B8" s="18" t="s">
        <v>63</v>
      </c>
      <c r="C8" s="16">
        <v>135408051.92656964</v>
      </c>
    </row>
    <row r="9" spans="2:19" x14ac:dyDescent="0.25">
      <c r="B9" s="18" t="s">
        <v>64</v>
      </c>
      <c r="C9" s="16">
        <v>250622179.78947368</v>
      </c>
    </row>
    <row r="10" spans="2:19" x14ac:dyDescent="0.25">
      <c r="B10" s="18" t="s">
        <v>119</v>
      </c>
      <c r="C10" s="16">
        <v>341217337</v>
      </c>
    </row>
    <row r="11" spans="2:19" x14ac:dyDescent="0.25">
      <c r="B11" s="18" t="s">
        <v>65</v>
      </c>
      <c r="C11" s="16">
        <v>942993946</v>
      </c>
      <c r="F11" s="15" t="s">
        <v>121</v>
      </c>
      <c r="G11" s="15"/>
    </row>
    <row r="12" spans="2:19" x14ac:dyDescent="0.25">
      <c r="B12" s="18" t="s">
        <v>66</v>
      </c>
      <c r="C12" s="16">
        <v>285771724</v>
      </c>
      <c r="D12" s="13"/>
      <c r="E12" s="27" t="s">
        <v>117</v>
      </c>
      <c r="F12" s="15" t="s">
        <v>118</v>
      </c>
      <c r="G12" s="75" t="s">
        <v>104</v>
      </c>
    </row>
    <row r="13" spans="2:19" x14ac:dyDescent="0.25">
      <c r="B13" s="18" t="s">
        <v>67</v>
      </c>
      <c r="C13" s="16">
        <v>2392856772</v>
      </c>
      <c r="D13" s="47" t="s">
        <v>115</v>
      </c>
      <c r="E13" s="27">
        <v>4224.8900000000003</v>
      </c>
      <c r="F13" s="26">
        <f>25605199578.4887/10^6</f>
        <v>25605.1995784887</v>
      </c>
      <c r="G13" s="76">
        <f>E13*10/(2*(F13-70.55%*F15))</f>
        <v>0.87926413239189383</v>
      </c>
    </row>
    <row r="14" spans="2:19" x14ac:dyDescent="0.25">
      <c r="B14" s="18" t="s">
        <v>68</v>
      </c>
      <c r="C14" s="16">
        <v>1151180785</v>
      </c>
      <c r="D14" s="47" t="s">
        <v>116</v>
      </c>
      <c r="E14" s="27">
        <v>3138.52</v>
      </c>
      <c r="F14" s="26">
        <f>10747078422.8903/10^6</f>
        <v>10747.078422890301</v>
      </c>
      <c r="G14" s="76">
        <f>E14*10/(2*(F14-29.45%*F15))</f>
        <v>1.5556465312330061</v>
      </c>
    </row>
    <row r="15" spans="2:19" x14ac:dyDescent="0.25">
      <c r="B15" s="18" t="s">
        <v>69</v>
      </c>
      <c r="C15" s="16">
        <v>588937572</v>
      </c>
      <c r="D15" s="15" t="s">
        <v>122</v>
      </c>
      <c r="F15" s="45">
        <v>2239.6210000000001</v>
      </c>
      <c r="G15" s="15"/>
    </row>
    <row r="16" spans="2:19" x14ac:dyDescent="0.25">
      <c r="B16" s="18" t="s">
        <v>70</v>
      </c>
      <c r="C16" s="16">
        <v>1599377855</v>
      </c>
      <c r="D16" s="12" t="s">
        <v>112</v>
      </c>
      <c r="E16" s="44">
        <f>SUM(E13:E14)</f>
        <v>7363.41</v>
      </c>
      <c r="F16" s="44">
        <f>SUM(F13:F14,-F15)</f>
        <v>34112.657001379004</v>
      </c>
      <c r="G16" s="36">
        <f>E16*10/(2*F16)</f>
        <v>1.0792782866052233</v>
      </c>
    </row>
    <row r="17" spans="2:3" x14ac:dyDescent="0.25">
      <c r="B17" s="18" t="s">
        <v>71</v>
      </c>
      <c r="C17" s="16">
        <v>674990142</v>
      </c>
    </row>
    <row r="18" spans="2:3" x14ac:dyDescent="0.25">
      <c r="B18" s="18" t="s">
        <v>72</v>
      </c>
      <c r="C18" s="16">
        <v>942840859.62899995</v>
      </c>
    </row>
    <row r="19" spans="2:3" x14ac:dyDescent="0.25">
      <c r="B19" s="21" t="s">
        <v>58</v>
      </c>
      <c r="C19" s="31">
        <f>SUM(C4:C18)</f>
        <v>9306197224.3450432</v>
      </c>
    </row>
    <row r="20" spans="2:3" x14ac:dyDescent="0.25">
      <c r="B20" s="18" t="s">
        <v>73</v>
      </c>
      <c r="C20" s="29">
        <v>0</v>
      </c>
    </row>
    <row r="21" spans="2:3" x14ac:dyDescent="0.25">
      <c r="B21" s="18" t="s">
        <v>74</v>
      </c>
      <c r="C21" s="29">
        <v>0</v>
      </c>
    </row>
    <row r="22" spans="2:3" x14ac:dyDescent="0.25">
      <c r="B22" s="24" t="s">
        <v>76</v>
      </c>
      <c r="C22" s="31">
        <f t="shared" ref="C22" si="0">C21+C20</f>
        <v>0</v>
      </c>
    </row>
    <row r="23" spans="2:3" x14ac:dyDescent="0.25">
      <c r="B23" s="23" t="s">
        <v>75</v>
      </c>
      <c r="C23" s="29"/>
    </row>
    <row r="24" spans="2:3" x14ac:dyDescent="0.25">
      <c r="B24" s="18" t="s">
        <v>77</v>
      </c>
      <c r="C24" s="29">
        <v>5598138638</v>
      </c>
    </row>
    <row r="25" spans="2:3" x14ac:dyDescent="0.25">
      <c r="B25" s="19" t="s">
        <v>78</v>
      </c>
      <c r="C25" s="29">
        <v>1641314655</v>
      </c>
    </row>
    <row r="26" spans="2:3" ht="15.75" customHeight="1" x14ac:dyDescent="0.25">
      <c r="B26" s="24" t="s">
        <v>79</v>
      </c>
      <c r="C26" s="31">
        <f>C25+C24</f>
        <v>7239453293</v>
      </c>
    </row>
    <row r="27" spans="2:3" hidden="1" x14ac:dyDescent="0.25">
      <c r="B27" s="25" t="s">
        <v>80</v>
      </c>
      <c r="C27" s="32">
        <v>5017429092.9090862</v>
      </c>
    </row>
    <row r="28" spans="2:3" hidden="1" x14ac:dyDescent="0.25">
      <c r="B28" s="25" t="s">
        <v>81</v>
      </c>
      <c r="C28" s="32">
        <v>11445057885.651594</v>
      </c>
    </row>
    <row r="29" spans="2:3" hidden="1" x14ac:dyDescent="0.25">
      <c r="B29" s="25" t="s">
        <v>82</v>
      </c>
      <c r="C29" s="32">
        <v>249245300.53449661</v>
      </c>
    </row>
    <row r="30" spans="2:3" hidden="1" x14ac:dyDescent="0.25">
      <c r="B30" s="25" t="s">
        <v>83</v>
      </c>
      <c r="C30" s="32">
        <v>463665911.95032203</v>
      </c>
    </row>
    <row r="31" spans="2:3" hidden="1" x14ac:dyDescent="0.25">
      <c r="B31" s="25" t="s">
        <v>84</v>
      </c>
      <c r="C31" s="32">
        <v>1946372041.77</v>
      </c>
    </row>
    <row r="32" spans="2:3" hidden="1" x14ac:dyDescent="0.25">
      <c r="B32" s="25" t="s">
        <v>85</v>
      </c>
      <c r="C32" s="32">
        <v>2214155725.2100005</v>
      </c>
    </row>
    <row r="33" spans="2:10" x14ac:dyDescent="0.25">
      <c r="B33" s="18" t="s">
        <v>86</v>
      </c>
      <c r="C33" s="29">
        <v>1900816666.6666667</v>
      </c>
    </row>
    <row r="34" spans="2:10" x14ac:dyDescent="0.25">
      <c r="B34" s="18" t="s">
        <v>87</v>
      </c>
      <c r="C34" s="29">
        <v>2717666665.3333335</v>
      </c>
    </row>
    <row r="35" spans="2:10" x14ac:dyDescent="0.25">
      <c r="B35" s="18" t="s">
        <v>57</v>
      </c>
      <c r="C35" s="29">
        <v>503335758.55555558</v>
      </c>
    </row>
    <row r="36" spans="2:10" x14ac:dyDescent="0.25">
      <c r="B36" s="18" t="s">
        <v>88</v>
      </c>
      <c r="C36" s="29">
        <v>2526100000</v>
      </c>
      <c r="G36" s="64"/>
      <c r="H36" s="65"/>
      <c r="I36" s="65"/>
      <c r="J36" s="66"/>
    </row>
    <row r="37" spans="2:10" x14ac:dyDescent="0.25">
      <c r="B37" s="18" t="s">
        <v>89</v>
      </c>
      <c r="C37" s="29">
        <v>4160400001.3333335</v>
      </c>
      <c r="G37" s="64"/>
      <c r="H37" s="67"/>
      <c r="I37" s="67"/>
      <c r="J37" s="67"/>
    </row>
    <row r="38" spans="2:10" x14ac:dyDescent="0.25">
      <c r="B38" s="18" t="s">
        <v>90</v>
      </c>
      <c r="C38" s="29">
        <v>4786966665.333334</v>
      </c>
      <c r="G38" s="64"/>
      <c r="H38" s="68"/>
      <c r="I38" s="68"/>
      <c r="J38" s="67"/>
    </row>
    <row r="39" spans="2:10" x14ac:dyDescent="0.25">
      <c r="B39" s="16" t="s">
        <v>120</v>
      </c>
      <c r="C39" s="29">
        <v>6668582991.1764708</v>
      </c>
      <c r="H39" s="69"/>
      <c r="I39" s="70"/>
      <c r="J39" s="67"/>
    </row>
    <row r="40" spans="2:10" x14ac:dyDescent="0.25">
      <c r="B40" s="18" t="s">
        <v>91</v>
      </c>
      <c r="C40" s="16">
        <v>3421699998</v>
      </c>
    </row>
    <row r="41" spans="2:10" x14ac:dyDescent="0.25">
      <c r="B41" s="18" t="s">
        <v>92</v>
      </c>
      <c r="C41" s="29">
        <v>5905774999.999999</v>
      </c>
    </row>
    <row r="42" spans="2:10" x14ac:dyDescent="0.25">
      <c r="B42" s="22" t="s">
        <v>93</v>
      </c>
      <c r="C42" s="31">
        <f>SUM(C33:C41)</f>
        <v>32591343746.398693</v>
      </c>
    </row>
    <row r="43" spans="2:10" x14ac:dyDescent="0.25">
      <c r="B43" s="18" t="s">
        <v>94</v>
      </c>
      <c r="C43" s="29">
        <v>7217050000.000001</v>
      </c>
    </row>
    <row r="44" spans="2:10" x14ac:dyDescent="0.25">
      <c r="B44" s="18" t="s">
        <v>95</v>
      </c>
      <c r="C44" s="29">
        <v>3691253700</v>
      </c>
    </row>
    <row r="45" spans="2:10" hidden="1" x14ac:dyDescent="0.25">
      <c r="B45" s="22" t="s">
        <v>105</v>
      </c>
      <c r="C45" s="33">
        <f>(C44+C43+C42+C26+C22+C19+C27+C28+C29+C30+C31+C32)/10^7</f>
        <v>8138.122392176926</v>
      </c>
    </row>
    <row r="46" spans="2:10" x14ac:dyDescent="0.25">
      <c r="B46" s="22" t="s">
        <v>106</v>
      </c>
      <c r="C46" s="33">
        <f>(C19+C22+C26+C42+C43+C44)/10^7</f>
        <v>6004.5297963743733</v>
      </c>
    </row>
    <row r="47" spans="2:10" x14ac:dyDescent="0.25">
      <c r="B47" s="78"/>
      <c r="C47" s="44"/>
    </row>
    <row r="48" spans="2:10" x14ac:dyDescent="0.25">
      <c r="C48" s="77" t="s">
        <v>134</v>
      </c>
      <c r="D48" s="73"/>
    </row>
    <row r="49" spans="2:5" x14ac:dyDescent="0.25">
      <c r="B49" s="31" t="s">
        <v>107</v>
      </c>
      <c r="C49" s="33">
        <f>(C50+C51+C52+C53)</f>
        <v>684.33482400000003</v>
      </c>
      <c r="D49" s="74"/>
    </row>
    <row r="50" spans="2:5" x14ac:dyDescent="0.25">
      <c r="B50" s="18" t="s">
        <v>96</v>
      </c>
      <c r="C50" s="55">
        <v>680.78303389999996</v>
      </c>
      <c r="D50" s="72"/>
    </row>
    <row r="51" spans="2:5" x14ac:dyDescent="0.25">
      <c r="B51" s="18" t="s">
        <v>97</v>
      </c>
      <c r="C51" s="55">
        <v>0.3584022</v>
      </c>
      <c r="D51" s="72"/>
    </row>
    <row r="52" spans="2:5" x14ac:dyDescent="0.25">
      <c r="B52" s="18" t="s">
        <v>98</v>
      </c>
      <c r="C52" s="55">
        <v>2.9674998000000001</v>
      </c>
      <c r="D52" s="72"/>
    </row>
    <row r="53" spans="2:5" x14ac:dyDescent="0.25">
      <c r="B53" s="18" t="s">
        <v>108</v>
      </c>
      <c r="C53" s="20">
        <v>0.22588810000000001</v>
      </c>
      <c r="D53" s="72"/>
    </row>
    <row r="54" spans="2:5" x14ac:dyDescent="0.25">
      <c r="B54" s="22" t="s">
        <v>109</v>
      </c>
      <c r="C54" s="33">
        <f>(C55+C56)</f>
        <v>1428.2172230400001</v>
      </c>
      <c r="D54" s="74"/>
    </row>
    <row r="55" spans="2:5" x14ac:dyDescent="0.25">
      <c r="B55" s="18" t="s">
        <v>99</v>
      </c>
      <c r="C55" s="55">
        <v>423.78070464000007</v>
      </c>
      <c r="D55" s="72"/>
    </row>
    <row r="56" spans="2:5" x14ac:dyDescent="0.25">
      <c r="B56" s="18" t="s">
        <v>100</v>
      </c>
      <c r="C56" s="55">
        <v>1004.4365184</v>
      </c>
      <c r="D56" s="72"/>
    </row>
    <row r="57" spans="2:5" x14ac:dyDescent="0.25">
      <c r="B57" s="22" t="s">
        <v>110</v>
      </c>
      <c r="C57" s="33">
        <f>(C58+C59)</f>
        <v>24.792122353000003</v>
      </c>
      <c r="D57" s="74"/>
    </row>
    <row r="58" spans="2:5" x14ac:dyDescent="0.25">
      <c r="B58" s="18" t="s">
        <v>101</v>
      </c>
      <c r="C58" s="55">
        <v>7.3181898870000008</v>
      </c>
      <c r="D58" s="72"/>
    </row>
    <row r="59" spans="2:5" x14ac:dyDescent="0.25">
      <c r="B59" s="18" t="s">
        <v>102</v>
      </c>
      <c r="C59" s="55">
        <v>17.473932466000001</v>
      </c>
      <c r="D59" s="72"/>
    </row>
    <row r="60" spans="2:5" x14ac:dyDescent="0.25">
      <c r="B60" s="22" t="s">
        <v>111</v>
      </c>
      <c r="C60" s="33">
        <f t="shared" ref="C60" si="1">(C49+C54+C57)</f>
        <v>2137.3441693930004</v>
      </c>
      <c r="D60" s="74"/>
      <c r="E60" s="26"/>
    </row>
    <row r="62" spans="2:5" x14ac:dyDescent="0.25">
      <c r="B62" s="34" t="s">
        <v>112</v>
      </c>
      <c r="C62" s="35">
        <f t="shared" ref="C62" si="2">C57+C54+C49+C46</f>
        <v>8141.8739657673732</v>
      </c>
    </row>
    <row r="64" spans="2:5" x14ac:dyDescent="0.25">
      <c r="B64" s="71" t="s">
        <v>113</v>
      </c>
    </row>
    <row r="65" spans="2:2" x14ac:dyDescent="0.25">
      <c r="B65" s="71" t="s">
        <v>114</v>
      </c>
    </row>
  </sheetData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14"/>
  <sheetViews>
    <sheetView topLeftCell="B1" zoomScaleNormal="100" workbookViewId="0">
      <selection activeCell="I25" sqref="I25"/>
    </sheetView>
  </sheetViews>
  <sheetFormatPr defaultRowHeight="15" x14ac:dyDescent="0.25"/>
  <cols>
    <col min="3" max="3" width="21.7109375" bestFit="1" customWidth="1"/>
  </cols>
  <sheetData>
    <row r="3" spans="3:10" x14ac:dyDescent="0.25">
      <c r="C3" s="51" t="s">
        <v>123</v>
      </c>
      <c r="D3" s="14">
        <v>44287</v>
      </c>
      <c r="E3" s="14">
        <v>44317</v>
      </c>
      <c r="F3" s="14">
        <v>44348</v>
      </c>
      <c r="G3" s="14">
        <v>44378</v>
      </c>
      <c r="H3" s="14">
        <v>44409</v>
      </c>
      <c r="I3" s="14">
        <v>44440</v>
      </c>
      <c r="J3" s="52" t="s">
        <v>124</v>
      </c>
    </row>
    <row r="4" spans="3:10" x14ac:dyDescent="0.25">
      <c r="C4" s="29" t="s">
        <v>125</v>
      </c>
      <c r="D4" s="53">
        <f>'[1]Day (1)'!$CU$30</f>
        <v>8864.0518321123182</v>
      </c>
      <c r="E4" s="53">
        <f>'[2]Day (1)'!$CU$30</f>
        <v>9132.7846254120795</v>
      </c>
      <c r="F4" s="53">
        <f>'[3]Day (1)'!$CU$30</f>
        <v>9061.7398200896278</v>
      </c>
      <c r="G4" s="53">
        <f>'[4]Day (1)'!$CU$30</f>
        <v>9072.2130962939591</v>
      </c>
      <c r="H4" s="53">
        <f>'[5]Day (1)'!$CU$30</f>
        <v>9678.2397618356972</v>
      </c>
      <c r="I4" s="53">
        <f>'[6]Day (1)'!$CU$30</f>
        <v>9556.2691339583325</v>
      </c>
      <c r="J4" s="54">
        <f>AVERAGE(D4:I4)</f>
        <v>9227.5497116170027</v>
      </c>
    </row>
    <row r="5" spans="3:10" x14ac:dyDescent="0.25">
      <c r="C5" s="29" t="s">
        <v>126</v>
      </c>
      <c r="D5" s="53">
        <f>'[1]Day (1)'!$CU$62</f>
        <v>8065.7823494216118</v>
      </c>
      <c r="E5" s="53">
        <f>'[2]Day (1)'!$CU$62</f>
        <v>6451.1051594449955</v>
      </c>
      <c r="F5" s="53">
        <f>'[3]Day (1)'!$CU$62</f>
        <v>6689.4170266155916</v>
      </c>
      <c r="G5" s="53">
        <f>'[4]Day (1)'!$CU$62</f>
        <v>7300.5691693039789</v>
      </c>
      <c r="H5" s="53">
        <f>'[5]Day (1)'!$CU$62</f>
        <v>8449.4887826653394</v>
      </c>
      <c r="I5" s="53">
        <f>'[6]Day (1)'!$CU$62</f>
        <v>7502.1324992172385</v>
      </c>
      <c r="J5" s="54">
        <f t="shared" ref="J5:J7" si="0">AVERAGE(D5:I5)</f>
        <v>7409.7491644447937</v>
      </c>
    </row>
    <row r="6" spans="3:10" x14ac:dyDescent="0.25">
      <c r="C6" s="29" t="s">
        <v>127</v>
      </c>
      <c r="D6" s="53">
        <f>'[1]Day (1)'!$CU$64</f>
        <v>798.26948269070522</v>
      </c>
      <c r="E6" s="53">
        <f>'[2]Day (1)'!$CU$64</f>
        <v>2681.6794659670836</v>
      </c>
      <c r="F6" s="53">
        <f>'[3]Day (1)'!$CU$64</f>
        <v>2372.3227934740326</v>
      </c>
      <c r="G6" s="53">
        <f>'[4]Day (1)'!$CU$64</f>
        <v>1771.6439269899799</v>
      </c>
      <c r="H6" s="53">
        <f>'[5]Day (1)'!$CU$64</f>
        <v>1228.7509791703585</v>
      </c>
      <c r="I6" s="53">
        <f>'[6]Day (1)'!$CU$64</f>
        <v>2054.1366347410944</v>
      </c>
      <c r="J6" s="54">
        <f t="shared" si="0"/>
        <v>1817.800547172209</v>
      </c>
    </row>
    <row r="7" spans="3:10" x14ac:dyDescent="0.25">
      <c r="C7" s="29" t="s">
        <v>128</v>
      </c>
      <c r="D7" s="53">
        <f>'[1]Day (1)'!$CU$107</f>
        <v>193.69946536111109</v>
      </c>
      <c r="E7" s="53">
        <f>'[2]Day (1)'!$CU$107</f>
        <v>266.88402872311826</v>
      </c>
      <c r="F7" s="53">
        <f>'[3]Day (1)'!$CU$107</f>
        <v>289.78975023611105</v>
      </c>
      <c r="G7" s="53">
        <f>'[4]Day (1)'!$CU$107</f>
        <v>303.79900095878133</v>
      </c>
      <c r="H7" s="53">
        <f>'[5]Day (1)'!$CU$107</f>
        <v>166.79608131720428</v>
      </c>
      <c r="I7" s="53">
        <f>'[6]Day (1)'!$CU$107</f>
        <v>145.98445694444442</v>
      </c>
      <c r="J7" s="54">
        <f t="shared" si="0"/>
        <v>227.82546392346174</v>
      </c>
    </row>
    <row r="8" spans="3:10" x14ac:dyDescent="0.25">
      <c r="C8" s="51" t="s">
        <v>129</v>
      </c>
      <c r="D8" s="54">
        <f>'[1]Day (1)'!$CU$111</f>
        <v>165.39566774130981</v>
      </c>
      <c r="E8" s="54">
        <f>'[2]Day (1)'!$CU$111</f>
        <v>266.88402872311826</v>
      </c>
      <c r="F8" s="54">
        <f>'[3]Day (1)'!$CU$111</f>
        <v>288.49579043150567</v>
      </c>
      <c r="G8" s="54">
        <f>'[4]Day (1)'!$CU$111</f>
        <v>302.13760949190748</v>
      </c>
      <c r="H8" s="54">
        <f>'[5]Day (1)'!$CU$111</f>
        <v>164.492896657128</v>
      </c>
      <c r="I8" s="54">
        <f>'[6]Day (1)'!$CU$111</f>
        <v>145.0111882464698</v>
      </c>
      <c r="J8" s="54">
        <f>AVERAGE(D8:I8)</f>
        <v>222.06953021523984</v>
      </c>
    </row>
    <row r="9" spans="3:10" ht="31.5" customHeight="1" x14ac:dyDescent="0.25">
      <c r="C9" s="57" t="s">
        <v>130</v>
      </c>
      <c r="D9" s="58"/>
      <c r="E9" s="58"/>
      <c r="F9" s="58"/>
      <c r="G9" s="58"/>
      <c r="H9" s="58"/>
      <c r="I9" s="58"/>
      <c r="J9" s="59"/>
    </row>
    <row r="10" spans="3:10" hidden="1" x14ac:dyDescent="0.25">
      <c r="D10" s="40">
        <f>D4-'[7]Abstract Avail&amp;Strand'!D4</f>
        <v>-134.91555212497406</v>
      </c>
      <c r="E10" s="40">
        <f>E4-'[7]Abstract Avail&amp;Strand'!E4</f>
        <v>259.02492368815365</v>
      </c>
      <c r="F10" s="40">
        <f>F4-'[7]Abstract Avail&amp;Strand'!F4</f>
        <v>796.42101019929396</v>
      </c>
      <c r="G10" s="40">
        <f>G4-'[7]Abstract Avail&amp;Strand'!G4</f>
        <v>723.47734284615581</v>
      </c>
      <c r="H10" s="40">
        <f>H4-'[7]Abstract Avail&amp;Strand'!H4</f>
        <v>1358.2104032345414</v>
      </c>
      <c r="I10" s="40">
        <f>I4-'[7]Abstract Avail&amp;Strand'!I4</f>
        <v>913.7911415980343</v>
      </c>
    </row>
    <row r="11" spans="3:10" x14ac:dyDescent="0.25">
      <c r="D11" s="40"/>
      <c r="E11" s="40"/>
      <c r="F11" s="40"/>
      <c r="G11" s="40"/>
      <c r="H11" s="40"/>
      <c r="I11" s="40"/>
    </row>
    <row r="13" spans="3:10" x14ac:dyDescent="0.25">
      <c r="D13" s="40"/>
      <c r="E13" s="40"/>
      <c r="F13" s="40"/>
      <c r="G13" s="40"/>
      <c r="H13" s="40"/>
      <c r="I13" s="40"/>
    </row>
    <row r="14" spans="3:10" x14ac:dyDescent="0.25">
      <c r="D14" s="40"/>
      <c r="E14" s="40"/>
      <c r="F14" s="40"/>
      <c r="G14" s="40"/>
      <c r="H14" s="40"/>
      <c r="I14" s="40"/>
    </row>
  </sheetData>
  <mergeCells count="1">
    <mergeCell ref="C9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48"/>
  <sheetViews>
    <sheetView tabSelected="1" topLeftCell="B1" zoomScale="85" zoomScaleNormal="85" workbookViewId="0">
      <selection activeCell="E2" sqref="E2"/>
    </sheetView>
  </sheetViews>
  <sheetFormatPr defaultRowHeight="15" x14ac:dyDescent="0.25"/>
  <cols>
    <col min="2" max="2" width="13.42578125" customWidth="1"/>
    <col min="3" max="3" width="52.28515625" customWidth="1"/>
    <col min="4" max="4" width="14" customWidth="1"/>
    <col min="5" max="5" width="21.28515625" style="11" customWidth="1"/>
  </cols>
  <sheetData>
    <row r="1" spans="2:6" s="37" customFormat="1" ht="30.75" customHeight="1" x14ac:dyDescent="0.25">
      <c r="B1" s="60" t="s">
        <v>0</v>
      </c>
      <c r="C1" s="60"/>
      <c r="D1" s="61" t="s">
        <v>1</v>
      </c>
      <c r="E1" s="46" t="s">
        <v>132</v>
      </c>
    </row>
    <row r="2" spans="2:6" ht="30.75" customHeight="1" x14ac:dyDescent="0.25">
      <c r="B2" s="60"/>
      <c r="C2" s="60"/>
      <c r="D2" s="62"/>
      <c r="E2" s="46" t="s">
        <v>133</v>
      </c>
    </row>
    <row r="3" spans="2:6" ht="24.95" customHeight="1" x14ac:dyDescent="0.25">
      <c r="B3" s="1" t="s">
        <v>2</v>
      </c>
      <c r="C3" s="1" t="s">
        <v>3</v>
      </c>
      <c r="D3" s="2" t="s">
        <v>4</v>
      </c>
      <c r="E3" s="3">
        <f>'Abstract Avail&amp;Strand'!J4</f>
        <v>9227.5497116170027</v>
      </c>
    </row>
    <row r="4" spans="2:6" ht="34.5" customHeight="1" x14ac:dyDescent="0.25">
      <c r="B4" s="4" t="s">
        <v>5</v>
      </c>
      <c r="C4" s="4" t="s">
        <v>6</v>
      </c>
      <c r="D4" s="2" t="s">
        <v>4</v>
      </c>
      <c r="E4" s="3">
        <f>'Abstract Avail&amp;Strand'!J8</f>
        <v>222.06953021523984</v>
      </c>
      <c r="F4" s="50"/>
    </row>
    <row r="5" spans="2:6" ht="30.75" customHeight="1" x14ac:dyDescent="0.25">
      <c r="B5" s="4" t="s">
        <v>8</v>
      </c>
      <c r="C5" s="4" t="s">
        <v>9</v>
      </c>
      <c r="D5" s="2" t="s">
        <v>10</v>
      </c>
      <c r="E5" s="6">
        <f>'Actual FC &amp; PGCIL &amp; TM Cost'!C46</f>
        <v>6004.5297963743733</v>
      </c>
    </row>
    <row r="6" spans="2:6" ht="24.95" customHeight="1" x14ac:dyDescent="0.25">
      <c r="B6" s="4" t="s">
        <v>12</v>
      </c>
      <c r="C6" s="7" t="s">
        <v>13</v>
      </c>
      <c r="D6" s="8" t="s">
        <v>14</v>
      </c>
      <c r="E6" s="3">
        <f>E5/E3</f>
        <v>0.65071768606296254</v>
      </c>
    </row>
    <row r="7" spans="2:6" ht="24.95" customHeight="1" x14ac:dyDescent="0.25">
      <c r="B7" s="4" t="s">
        <v>15</v>
      </c>
      <c r="C7" s="4" t="s">
        <v>16</v>
      </c>
      <c r="D7" s="2" t="s">
        <v>10</v>
      </c>
      <c r="E7" s="3">
        <f>E6*E4</f>
        <v>144.50457084675</v>
      </c>
    </row>
    <row r="8" spans="2:6" ht="30.75" customHeight="1" x14ac:dyDescent="0.25">
      <c r="B8" s="4" t="s">
        <v>17</v>
      </c>
      <c r="C8" s="4" t="s">
        <v>18</v>
      </c>
      <c r="D8" s="38" t="s">
        <v>10</v>
      </c>
      <c r="E8" s="6">
        <f>'Actual FC &amp; PGCIL &amp; TM Cost'!C60</f>
        <v>2137.3441693930004</v>
      </c>
    </row>
    <row r="9" spans="2:6" ht="24.95" customHeight="1" x14ac:dyDescent="0.25">
      <c r="B9" s="4" t="s">
        <v>19</v>
      </c>
      <c r="C9" s="4" t="s">
        <v>20</v>
      </c>
      <c r="D9" s="2" t="s">
        <v>21</v>
      </c>
      <c r="E9" s="3">
        <f>'Actual FC &amp; PGCIL &amp; TM Cost'!F16</f>
        <v>34112.657001379004</v>
      </c>
    </row>
    <row r="10" spans="2:6" ht="24.95" customHeight="1" x14ac:dyDescent="0.25">
      <c r="B10" s="4" t="s">
        <v>22</v>
      </c>
      <c r="C10" s="4" t="s">
        <v>23</v>
      </c>
      <c r="D10" s="2" t="s">
        <v>24</v>
      </c>
      <c r="E10" s="3">
        <f>E8/E9*10</f>
        <v>0.62655458626591254</v>
      </c>
    </row>
    <row r="11" spans="2:6" s="37" customFormat="1" ht="28.5" customHeight="1" x14ac:dyDescent="0.25">
      <c r="B11" s="48" t="s">
        <v>25</v>
      </c>
      <c r="C11" s="38" t="s">
        <v>26</v>
      </c>
      <c r="D11" s="38" t="s">
        <v>24</v>
      </c>
      <c r="E11" s="3">
        <f>'Actual FC &amp; PGCIL &amp; TM Cost'!G16</f>
        <v>1.0792782866052233</v>
      </c>
    </row>
    <row r="12" spans="2:6" ht="18.75" customHeight="1" x14ac:dyDescent="0.25">
      <c r="B12" s="4" t="s">
        <v>27</v>
      </c>
      <c r="C12" s="4" t="s">
        <v>28</v>
      </c>
      <c r="D12" s="2" t="s">
        <v>24</v>
      </c>
      <c r="E12" s="3">
        <f t="shared" ref="E12" si="0">E11+E10</f>
        <v>1.7058328728711358</v>
      </c>
    </row>
    <row r="13" spans="2:6" ht="33.75" customHeight="1" x14ac:dyDescent="0.25">
      <c r="B13" s="4" t="s">
        <v>29</v>
      </c>
      <c r="C13" s="4" t="s">
        <v>30</v>
      </c>
      <c r="D13" s="2" t="s">
        <v>21</v>
      </c>
      <c r="E13" s="5">
        <v>1785.4067597699998</v>
      </c>
    </row>
    <row r="14" spans="2:6" ht="36" customHeight="1" x14ac:dyDescent="0.25">
      <c r="B14" s="4" t="s">
        <v>31</v>
      </c>
      <c r="C14" s="63" t="s">
        <v>32</v>
      </c>
      <c r="D14" s="2" t="s">
        <v>10</v>
      </c>
      <c r="E14" s="3">
        <f>E13*E12/10</f>
        <v>304.56055422620045</v>
      </c>
    </row>
    <row r="15" spans="2:6" ht="36" customHeight="1" x14ac:dyDescent="0.25">
      <c r="B15" s="4" t="s">
        <v>33</v>
      </c>
      <c r="C15" s="4" t="s">
        <v>34</v>
      </c>
      <c r="D15" s="2" t="s">
        <v>10</v>
      </c>
      <c r="E15" s="9">
        <v>186.89914877081759</v>
      </c>
    </row>
    <row r="16" spans="2:6" ht="24.95" customHeight="1" x14ac:dyDescent="0.25">
      <c r="B16" s="4" t="s">
        <v>36</v>
      </c>
      <c r="C16" s="4" t="s">
        <v>37</v>
      </c>
      <c r="D16" s="2" t="s">
        <v>10</v>
      </c>
      <c r="E16" s="3">
        <f>E15-E14</f>
        <v>-117.66140545538286</v>
      </c>
    </row>
    <row r="17" spans="1:5" ht="24.95" customHeight="1" x14ac:dyDescent="0.25">
      <c r="B17" s="4" t="s">
        <v>38</v>
      </c>
      <c r="C17" s="4" t="s">
        <v>39</v>
      </c>
      <c r="D17" s="2" t="s">
        <v>10</v>
      </c>
      <c r="E17" s="3">
        <f>E7-E16</f>
        <v>262.16597630213289</v>
      </c>
    </row>
    <row r="18" spans="1:5" s="37" customFormat="1" ht="31.5" customHeight="1" x14ac:dyDescent="0.25">
      <c r="B18" s="7" t="s">
        <v>40</v>
      </c>
      <c r="C18" s="7" t="s">
        <v>41</v>
      </c>
      <c r="D18" s="38" t="s">
        <v>21</v>
      </c>
      <c r="E18" s="3">
        <v>645.89654036999991</v>
      </c>
    </row>
    <row r="19" spans="1:5" ht="24.95" customHeight="1" x14ac:dyDescent="0.25">
      <c r="B19" s="4" t="s">
        <v>43</v>
      </c>
      <c r="C19" s="4" t="s">
        <v>44</v>
      </c>
      <c r="D19" s="2" t="s">
        <v>24</v>
      </c>
      <c r="E19" s="56">
        <f>E17/E18*10</f>
        <v>4.0589469042820987</v>
      </c>
    </row>
    <row r="20" spans="1:5" x14ac:dyDescent="0.25">
      <c r="E20"/>
    </row>
    <row r="21" spans="1:5" x14ac:dyDescent="0.25">
      <c r="E21"/>
    </row>
    <row r="22" spans="1:5" hidden="1" x14ac:dyDescent="0.25"/>
    <row r="23" spans="1:5" hidden="1" x14ac:dyDescent="0.25">
      <c r="C23" s="2" t="s">
        <v>11</v>
      </c>
      <c r="D23" s="2"/>
    </row>
    <row r="24" spans="1:5" hidden="1" x14ac:dyDescent="0.25">
      <c r="C24" s="2" t="s">
        <v>45</v>
      </c>
      <c r="D24" s="2"/>
    </row>
    <row r="25" spans="1:5" hidden="1" x14ac:dyDescent="0.25"/>
    <row r="26" spans="1:5" hidden="1" x14ac:dyDescent="0.25"/>
    <row r="27" spans="1:5" hidden="1" x14ac:dyDescent="0.25"/>
    <row r="28" spans="1:5" hidden="1" x14ac:dyDescent="0.25">
      <c r="C28" s="2" t="s">
        <v>46</v>
      </c>
      <c r="D28" s="2"/>
    </row>
    <row r="29" spans="1:5" hidden="1" x14ac:dyDescent="0.25">
      <c r="C29" s="2" t="s">
        <v>42</v>
      </c>
      <c r="D29" s="2"/>
    </row>
    <row r="30" spans="1:5" hidden="1" x14ac:dyDescent="0.25">
      <c r="A30" s="13" t="s">
        <v>47</v>
      </c>
      <c r="C30" s="2" t="s">
        <v>48</v>
      </c>
      <c r="D30" s="2"/>
    </row>
    <row r="31" spans="1:5" hidden="1" x14ac:dyDescent="0.25">
      <c r="A31" s="13" t="s">
        <v>49</v>
      </c>
      <c r="C31" s="2" t="s">
        <v>50</v>
      </c>
      <c r="D31" s="2"/>
    </row>
    <row r="32" spans="1:5" hidden="1" x14ac:dyDescent="0.25"/>
    <row r="33" spans="3:4" hidden="1" x14ac:dyDescent="0.25"/>
    <row r="34" spans="3:4" hidden="1" x14ac:dyDescent="0.25"/>
    <row r="35" spans="3:4" hidden="1" x14ac:dyDescent="0.25">
      <c r="C35" s="2" t="s">
        <v>51</v>
      </c>
      <c r="D35" s="2"/>
    </row>
    <row r="36" spans="3:4" hidden="1" x14ac:dyDescent="0.25">
      <c r="C36" s="2" t="s">
        <v>52</v>
      </c>
      <c r="D36" s="2"/>
    </row>
    <row r="37" spans="3:4" hidden="1" x14ac:dyDescent="0.25">
      <c r="C37" s="2" t="s">
        <v>53</v>
      </c>
      <c r="D37" s="2"/>
    </row>
    <row r="38" spans="3:4" hidden="1" x14ac:dyDescent="0.25"/>
    <row r="39" spans="3:4" hidden="1" x14ac:dyDescent="0.25"/>
    <row r="40" spans="3:4" hidden="1" x14ac:dyDescent="0.25"/>
    <row r="41" spans="3:4" hidden="1" x14ac:dyDescent="0.25">
      <c r="C41" s="2" t="s">
        <v>54</v>
      </c>
      <c r="D41" s="2"/>
    </row>
    <row r="42" spans="3:4" hidden="1" x14ac:dyDescent="0.25">
      <c r="C42" s="2" t="s">
        <v>55</v>
      </c>
      <c r="D42" s="2"/>
    </row>
    <row r="43" spans="3:4" hidden="1" x14ac:dyDescent="0.25">
      <c r="C43" s="2" t="s">
        <v>35</v>
      </c>
      <c r="D43" s="2"/>
    </row>
    <row r="44" spans="3:4" hidden="1" x14ac:dyDescent="0.25"/>
    <row r="45" spans="3:4" hidden="1" x14ac:dyDescent="0.25"/>
    <row r="46" spans="3:4" hidden="1" x14ac:dyDescent="0.25"/>
    <row r="47" spans="3:4" hidden="1" x14ac:dyDescent="0.25">
      <c r="C47" s="4" t="s">
        <v>56</v>
      </c>
      <c r="D47" s="2"/>
    </row>
    <row r="48" spans="3:4" hidden="1" x14ac:dyDescent="0.25">
      <c r="C48" s="4" t="s">
        <v>7</v>
      </c>
      <c r="D48" s="2"/>
    </row>
  </sheetData>
  <mergeCells count="2">
    <mergeCell ref="B1:C2"/>
    <mergeCell ref="D1:D2"/>
  </mergeCells>
  <pageMargins left="0.7" right="0.7" top="0.75" bottom="0.75" header="0.3" footer="0.3"/>
  <pageSetup scale="80" orientation="landscape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Actual FC &amp; PGCIL &amp; TM Cost</vt:lpstr>
      <vt:lpstr>Abstract Avail&amp;Strand</vt:lpstr>
      <vt:lpstr>Addnl Surcharge 21-22_H1</vt:lpstr>
      <vt:lpstr>'Actual FC &amp; PGCIL &amp; TM Cost'!Print_Area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TSSPDCL</cp:lastModifiedBy>
  <cp:lastPrinted>2021-11-16T10:59:36Z</cp:lastPrinted>
  <dcterms:created xsi:type="dcterms:W3CDTF">2019-10-25T12:02:31Z</dcterms:created>
  <dcterms:modified xsi:type="dcterms:W3CDTF">2022-01-19T06:02:21Z</dcterms:modified>
</cp:coreProperties>
</file>